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17" sheetId="5" r:id="rId5"/>
  </sheets>
  <definedNames/>
  <calcPr fullCalcOnLoad="1"/>
</workbook>
</file>

<file path=xl/sharedStrings.xml><?xml version="1.0" encoding="utf-8"?>
<sst xmlns="http://schemas.openxmlformats.org/spreadsheetml/2006/main" count="762" uniqueCount="195">
  <si>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</si>
  <si>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</si>
  <si>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</si>
  <si>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</si>
  <si>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</si>
  <si>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</si>
  <si>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</si>
  <si>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</si>
  <si>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</si>
  <si>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</si>
  <si>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</si>
  <si>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</si>
  <si>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</si>
  <si>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</si>
  <si>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</si>
  <si>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</si>
  <si>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</si>
  <si>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</si>
  <si>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</si>
  <si>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</si>
  <si>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</si>
  <si>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</si>
  <si>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</si>
  <si>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</si>
  <si>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</si>
  <si>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</si>
  <si>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</si>
  <si>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</si>
  <si>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</si>
  <si>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</si>
  <si>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</si>
  <si>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</si>
  <si>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</si>
  <si>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</si>
  <si>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</si>
  <si>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</si>
  <si>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</si>
  <si>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</si>
  <si>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</si>
  <si>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</si>
  <si>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</si>
  <si>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</si>
  <si>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</si>
  <si>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</si>
  <si>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</si>
  <si>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</si>
  <si>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</si>
  <si>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</si>
  <si>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</si>
  <si>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</si>
  <si>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</si>
  <si>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</si>
  <si>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</si>
  <si>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</si>
  <si>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</si>
  <si>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</si>
  <si>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</si>
  <si>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</si>
  <si>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</si>
  <si>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</si>
  <si>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</si>
  <si>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</si>
  <si>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</si>
  <si>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</si>
  <si>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</si>
  <si>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</si>
  <si>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</si>
  <si>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</si>
  <si>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</si>
  <si>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</si>
  <si>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</si>
  <si>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</si>
  <si>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</si>
  <si>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</si>
  <si>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</si>
  <si>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</si>
  <si>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</si>
  <si>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</si>
  <si>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</si>
  <si>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</si>
  <si>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</si>
  <si>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</si>
  <si>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</si>
  <si>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</si>
  <si>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</si>
  <si>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</si>
  <si>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</si>
  <si>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</si>
  <si>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</si>
  <si>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</si>
  <si>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</si>
  <si>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</si>
  <si>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</si>
  <si>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</si>
  <si>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</si>
  <si>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</si>
  <si>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</si>
  <si>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</si>
  <si>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</si>
  <si>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</si>
  <si>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</si>
  <si>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</si>
  <si>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</si>
  <si>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</si>
  <si>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</si>
  <si>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</si>
  <si>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</si>
  <si>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</si>
  <si>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</si>
  <si>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</si>
  <si>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</si>
  <si>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</si>
  <si>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</si>
  <si>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</si>
  <si>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</si>
  <si>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</si>
  <si>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</si>
  <si>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</si>
  <si>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</si>
  <si>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</si>
  <si>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</si>
  <si>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</si>
  <si>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</si>
  <si>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</si>
  <si>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</si>
  <si>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</si>
  <si>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</si>
  <si>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</si>
  <si>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</si>
  <si>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</si>
  <si>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</si>
  <si>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</si>
  <si>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</si>
  <si>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</si>
  <si>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</si>
  <si>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</si>
  <si>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</si>
  <si>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</si>
  <si>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</si>
  <si>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</si>
  <si>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</si>
  <si>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</si>
  <si>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</si>
  <si>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</si>
  <si>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</si>
  <si>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</si>
  <si>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</si>
  <si>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</si>
  <si>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</si>
  <si>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</si>
  <si>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</si>
  <si>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</si>
  <si>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</si>
  <si>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</si>
  <si>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</si>
  <si>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</si>
  <si>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</si>
  <si>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</si>
  <si>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</si>
  <si>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</si>
  <si>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</si>
  <si>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</si>
  <si>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</si>
  <si>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</si>
  <si>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</si>
  <si>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</si>
  <si>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</si>
  <si>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</si>
  <si>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</si>
  <si>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</si>
  <si>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</si>
  <si>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</si>
  <si>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</si>
  <si>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</si>
  <si>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</si>
  <si>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</si>
  <si>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</si>
  <si>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</si>
  <si>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</si>
  <si>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</si>
  <si>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</si>
  <si>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</si>
  <si>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</si>
  <si>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</si>
  <si>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</si>
  <si>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</si>
  <si>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</si>
  <si>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</si>
  <si>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</si>
  <si>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</si>
  <si>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</si>
  <si>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</si>
  <si>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</si>
  <si>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</si>
  <si>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24.05.17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</si>
</sst>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3" t="s">
        <v>193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5"/>
      <c r="T1" s="85"/>
      <c r="U1" s="86"/>
    </row>
    <row r="2" spans="2:21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188</v>
      </c>
      <c r="O3" s="324" t="s">
        <v>189</v>
      </c>
      <c r="P3" s="324"/>
      <c r="Q3" s="324"/>
      <c r="R3" s="324"/>
      <c r="S3" s="324"/>
      <c r="T3" s="324"/>
      <c r="U3" s="324"/>
    </row>
    <row r="4" spans="1:21" ht="22.5" customHeight="1">
      <c r="A4" s="315"/>
      <c r="B4" s="317"/>
      <c r="C4" s="318"/>
      <c r="D4" s="319"/>
      <c r="E4" s="325" t="s">
        <v>185</v>
      </c>
      <c r="F4" s="307" t="s">
        <v>33</v>
      </c>
      <c r="G4" s="297" t="s">
        <v>186</v>
      </c>
      <c r="H4" s="309" t="s">
        <v>187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194</v>
      </c>
      <c r="P4" s="297" t="s">
        <v>49</v>
      </c>
      <c r="Q4" s="29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191</v>
      </c>
      <c r="L5" s="301"/>
      <c r="M5" s="302"/>
      <c r="N5" s="310"/>
      <c r="O5" s="312"/>
      <c r="P5" s="298"/>
      <c r="Q5" s="299"/>
      <c r="R5" s="303" t="s">
        <v>190</v>
      </c>
      <c r="S5" s="304"/>
      <c r="T5" s="305" t="s">
        <v>181</v>
      </c>
      <c r="U5" s="30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504703.6</v>
      </c>
      <c r="F8" s="149">
        <f>F9+F15+F18+F19+F23+F40+F17</f>
        <v>471941.93000000005</v>
      </c>
      <c r="G8" s="149">
        <f aca="true" t="shared" si="0" ref="G8:G40">F8-E8</f>
        <v>-32761.669999999925</v>
      </c>
      <c r="H8" s="150">
        <f>F8/E8*100</f>
        <v>93.508730668852</v>
      </c>
      <c r="I8" s="151">
        <f>F8-D8</f>
        <v>-826509.17</v>
      </c>
      <c r="J8" s="151">
        <f>F8/D8*100</f>
        <v>36.34653087821328</v>
      </c>
      <c r="K8" s="149">
        <v>374994.96</v>
      </c>
      <c r="L8" s="149">
        <f aca="true" t="shared" si="1" ref="L8:L54">F8-K8</f>
        <v>96946.97000000003</v>
      </c>
      <c r="M8" s="203">
        <f aca="true" t="shared" si="2" ref="M8:M31">F8/K8</f>
        <v>1.2585287279594373</v>
      </c>
      <c r="N8" s="149">
        <f>N9+N15+N18+N19+N23+N17</f>
        <v>106726.09999999998</v>
      </c>
      <c r="O8" s="149">
        <f>O9+O15+O18+O19+O23+O17</f>
        <v>71629.67400000001</v>
      </c>
      <c r="P8" s="149">
        <f>O8-N8</f>
        <v>-35096.42599999996</v>
      </c>
      <c r="Q8" s="149">
        <f>O8/N8*100</f>
        <v>67.11542349996864</v>
      </c>
      <c r="R8" s="15">
        <f>R9+R15+R18+R19+R23</f>
        <v>104639</v>
      </c>
      <c r="S8" s="15">
        <f>O8-R8</f>
        <v>-33009.32599999999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263251.9</v>
      </c>
      <c r="G9" s="148">
        <f t="shared" si="0"/>
        <v>-15588.099999999977</v>
      </c>
      <c r="H9" s="155">
        <f>F9/E9*100</f>
        <v>94.40966145459763</v>
      </c>
      <c r="I9" s="156">
        <f>F9-D9</f>
        <v>-503393.1</v>
      </c>
      <c r="J9" s="156">
        <f>F9/D9*100</f>
        <v>34.3381747745045</v>
      </c>
      <c r="K9" s="225">
        <v>199100.92</v>
      </c>
      <c r="L9" s="157">
        <f t="shared" si="1"/>
        <v>64150.98000000001</v>
      </c>
      <c r="M9" s="204">
        <f t="shared" si="2"/>
        <v>1.3222033328625504</v>
      </c>
      <c r="N9" s="155">
        <f>E9-квітень!E9</f>
        <v>57980</v>
      </c>
      <c r="O9" s="158">
        <f>F9-квітень!F9</f>
        <v>40155.79800000001</v>
      </c>
      <c r="P9" s="159">
        <f>O9-N9</f>
        <v>-17824.20199999999</v>
      </c>
      <c r="Q9" s="156">
        <f>O9/N9*100</f>
        <v>69.2580165574336</v>
      </c>
      <c r="R9" s="99">
        <v>57980</v>
      </c>
      <c r="S9" s="99">
        <f>O9-R9</f>
        <v>-17824.20199999999</v>
      </c>
      <c r="T9" s="99">
        <f>березень!F9+квітень!R9</f>
        <v>223567.36</v>
      </c>
      <c r="U9" s="99">
        <f>F9-T9</f>
        <v>39684.54000000004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241264.35</v>
      </c>
      <c r="G10" s="102">
        <f t="shared" si="0"/>
        <v>-11895.649999999994</v>
      </c>
      <c r="H10" s="29">
        <f aca="true" t="shared" si="3" ref="H10:H39">F10/E10*100</f>
        <v>95.30113367040607</v>
      </c>
      <c r="I10" s="103">
        <f aca="true" t="shared" si="4" ref="I10:I40">F10-D10</f>
        <v>-460052.65</v>
      </c>
      <c r="J10" s="103">
        <f aca="true" t="shared" si="5" ref="J10:J39">F10/D10*100</f>
        <v>34.40161153943224</v>
      </c>
      <c r="K10" s="105">
        <v>174168.33</v>
      </c>
      <c r="L10" s="105">
        <f t="shared" si="1"/>
        <v>67096.02000000002</v>
      </c>
      <c r="M10" s="205">
        <f t="shared" si="2"/>
        <v>1.3852366271181449</v>
      </c>
      <c r="N10" s="104">
        <f>E10-квітень!E10</f>
        <v>53024</v>
      </c>
      <c r="O10" s="142">
        <f>F10-квітень!F10</f>
        <v>36898.49000000002</v>
      </c>
      <c r="P10" s="105">
        <f aca="true" t="shared" si="6" ref="P10:P40">O10-N10</f>
        <v>-16125.50999999998</v>
      </c>
      <c r="Q10" s="103">
        <f aca="true" t="shared" si="7" ref="Q10:Q27">O10/N10*100</f>
        <v>69.58828077851543</v>
      </c>
      <c r="R10" s="36"/>
      <c r="S10" s="99">
        <f aca="true" t="shared" si="8" ref="S10:S35">O10-R10</f>
        <v>36898.49000000002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14244.92</v>
      </c>
      <c r="G11" s="102">
        <f t="shared" si="0"/>
        <v>-4115.08</v>
      </c>
      <c r="H11" s="29">
        <f t="shared" si="3"/>
        <v>77.58671023965141</v>
      </c>
      <c r="I11" s="103">
        <f t="shared" si="4"/>
        <v>-32261.08</v>
      </c>
      <c r="J11" s="103">
        <f t="shared" si="5"/>
        <v>30.63028426439599</v>
      </c>
      <c r="K11" s="105">
        <v>14679.25</v>
      </c>
      <c r="L11" s="105">
        <f t="shared" si="1"/>
        <v>-434.3299999999999</v>
      </c>
      <c r="M11" s="205">
        <f t="shared" si="2"/>
        <v>0.9704119760886967</v>
      </c>
      <c r="N11" s="104">
        <f>E11-квітень!E11</f>
        <v>3660</v>
      </c>
      <c r="O11" s="142">
        <f>F11-квітень!F11</f>
        <v>1815.7700000000004</v>
      </c>
      <c r="P11" s="105">
        <f t="shared" si="6"/>
        <v>-1844.2299999999996</v>
      </c>
      <c r="Q11" s="103">
        <f t="shared" si="7"/>
        <v>49.611202185792365</v>
      </c>
      <c r="R11" s="36"/>
      <c r="S11" s="99">
        <f t="shared" si="8"/>
        <v>1815.7700000000004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3451.71</v>
      </c>
      <c r="G12" s="102">
        <f t="shared" si="0"/>
        <v>511.71000000000004</v>
      </c>
      <c r="H12" s="29">
        <f t="shared" si="3"/>
        <v>117.40510204081633</v>
      </c>
      <c r="I12" s="103">
        <f t="shared" si="4"/>
        <v>-4828.29</v>
      </c>
      <c r="J12" s="103">
        <f t="shared" si="5"/>
        <v>41.687318840579714</v>
      </c>
      <c r="K12" s="105">
        <v>4583.23</v>
      </c>
      <c r="L12" s="105">
        <f t="shared" si="1"/>
        <v>-1131.5199999999995</v>
      </c>
      <c r="M12" s="205">
        <f t="shared" si="2"/>
        <v>0.753117343009188</v>
      </c>
      <c r="N12" s="104">
        <f>E12-квітень!E12</f>
        <v>600</v>
      </c>
      <c r="O12" s="142">
        <f>F12-квітень!F12</f>
        <v>842.1199999999999</v>
      </c>
      <c r="P12" s="105">
        <f t="shared" si="6"/>
        <v>242.1199999999999</v>
      </c>
      <c r="Q12" s="103">
        <f t="shared" si="7"/>
        <v>140.3533333333333</v>
      </c>
      <c r="R12" s="36"/>
      <c r="S12" s="99">
        <f t="shared" si="8"/>
        <v>842.1199999999999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3683.27</v>
      </c>
      <c r="G13" s="102">
        <f t="shared" si="0"/>
        <v>-216.73000000000002</v>
      </c>
      <c r="H13" s="29">
        <f t="shared" si="3"/>
        <v>94.44282051282052</v>
      </c>
      <c r="I13" s="103">
        <f t="shared" si="4"/>
        <v>-5706.73</v>
      </c>
      <c r="J13" s="103">
        <f t="shared" si="5"/>
        <v>39.22545260915868</v>
      </c>
      <c r="K13" s="105">
        <v>3763.44</v>
      </c>
      <c r="L13" s="105">
        <f t="shared" si="1"/>
        <v>-80.17000000000007</v>
      </c>
      <c r="M13" s="205">
        <f t="shared" si="2"/>
        <v>0.9786976808451842</v>
      </c>
      <c r="N13" s="104">
        <f>E13-квітень!E13</f>
        <v>600</v>
      </c>
      <c r="O13" s="142">
        <f>F13-квітень!F13</f>
        <v>473.94000000000005</v>
      </c>
      <c r="P13" s="105">
        <f t="shared" si="6"/>
        <v>-126.05999999999995</v>
      </c>
      <c r="Q13" s="103">
        <f t="shared" si="7"/>
        <v>78.99000000000001</v>
      </c>
      <c r="R13" s="36"/>
      <c r="S13" s="99">
        <f t="shared" si="8"/>
        <v>473.94000000000005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36">
        <v>150</v>
      </c>
      <c r="S15" s="99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 t="e">
        <f>F17/E17/100</f>
        <v>#DIV/0!</v>
      </c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 t="e">
        <f t="shared" si="7"/>
        <v>#DIV/0!</v>
      </c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40416.66</v>
      </c>
      <c r="G19" s="160">
        <f t="shared" si="0"/>
        <v>-7983.3399999999965</v>
      </c>
      <c r="H19" s="162">
        <f t="shared" si="3"/>
        <v>83.5054958677686</v>
      </c>
      <c r="I19" s="163">
        <f t="shared" si="4"/>
        <v>-89583.34</v>
      </c>
      <c r="J19" s="163">
        <f t="shared" si="5"/>
        <v>31.089738461538463</v>
      </c>
      <c r="K19" s="159">
        <v>35230.56</v>
      </c>
      <c r="L19" s="165">
        <f t="shared" si="1"/>
        <v>5186.100000000006</v>
      </c>
      <c r="M19" s="211">
        <f t="shared" si="2"/>
        <v>1.1472045860185023</v>
      </c>
      <c r="N19" s="162">
        <f>E19-квітень!E19</f>
        <v>10500</v>
      </c>
      <c r="O19" s="166">
        <f>F19-квітень!F19</f>
        <v>4311.896000000001</v>
      </c>
      <c r="P19" s="165">
        <f t="shared" si="6"/>
        <v>-6188.103999999999</v>
      </c>
      <c r="Q19" s="163">
        <f t="shared" si="7"/>
        <v>41.065676190476196</v>
      </c>
      <c r="R19" s="36">
        <v>9450</v>
      </c>
      <c r="S19" s="99">
        <f t="shared" si="8"/>
        <v>-5138.103999999999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23083.36</v>
      </c>
      <c r="G20" s="250">
        <f t="shared" si="0"/>
        <v>-6566.639999999999</v>
      </c>
      <c r="H20" s="193">
        <f t="shared" si="3"/>
        <v>77.85281618887015</v>
      </c>
      <c r="I20" s="251">
        <f t="shared" si="4"/>
        <v>-53416.64</v>
      </c>
      <c r="J20" s="251">
        <f t="shared" si="5"/>
        <v>30.17432679738562</v>
      </c>
      <c r="K20" s="252">
        <v>35230.56</v>
      </c>
      <c r="L20" s="164">
        <f t="shared" si="1"/>
        <v>-12147.199999999997</v>
      </c>
      <c r="M20" s="253">
        <f t="shared" si="2"/>
        <v>0.6552084326789016</v>
      </c>
      <c r="N20" s="193">
        <f>E20-квітень!E20</f>
        <v>5750</v>
      </c>
      <c r="O20" s="177">
        <f>F20-квітень!F20</f>
        <v>1103.7799999999988</v>
      </c>
      <c r="P20" s="164">
        <f t="shared" si="6"/>
        <v>-4646.220000000001</v>
      </c>
      <c r="Q20" s="251">
        <f t="shared" si="7"/>
        <v>19.196173913043456</v>
      </c>
      <c r="R20" s="106">
        <v>4450</v>
      </c>
      <c r="S20" s="99">
        <f t="shared" si="8"/>
        <v>-3346.220000000001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3362.68</v>
      </c>
      <c r="G21" s="250">
        <f t="shared" si="0"/>
        <v>-587.3200000000002</v>
      </c>
      <c r="H21" s="193"/>
      <c r="I21" s="251">
        <f t="shared" si="4"/>
        <v>-7337.32</v>
      </c>
      <c r="J21" s="251">
        <f t="shared" si="5"/>
        <v>31.426915887850466</v>
      </c>
      <c r="K21" s="252">
        <v>0</v>
      </c>
      <c r="L21" s="164">
        <f t="shared" si="1"/>
        <v>3362.68</v>
      </c>
      <c r="M21" s="253"/>
      <c r="N21" s="193">
        <f>E21-квітень!E21</f>
        <v>950</v>
      </c>
      <c r="O21" s="177">
        <f>F21-квітень!F21</f>
        <v>243.73999999999978</v>
      </c>
      <c r="P21" s="164">
        <f t="shared" si="6"/>
        <v>-706.2600000000002</v>
      </c>
      <c r="Q21" s="251"/>
      <c r="R21" s="106">
        <v>1000</v>
      </c>
      <c r="S21" s="99">
        <f t="shared" si="8"/>
        <v>-756.2600000000002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13970.62</v>
      </c>
      <c r="G22" s="250">
        <f t="shared" si="0"/>
        <v>-829.3799999999992</v>
      </c>
      <c r="H22" s="193"/>
      <c r="I22" s="251">
        <f t="shared" si="4"/>
        <v>-28829.379999999997</v>
      </c>
      <c r="J22" s="251">
        <f t="shared" si="5"/>
        <v>32.64163551401869</v>
      </c>
      <c r="K22" s="252">
        <v>0</v>
      </c>
      <c r="L22" s="164">
        <f t="shared" si="1"/>
        <v>13970.62</v>
      </c>
      <c r="M22" s="253"/>
      <c r="N22" s="193">
        <f>E22-квітень!E22</f>
        <v>3800</v>
      </c>
      <c r="O22" s="177">
        <f>F22-квітень!F22</f>
        <v>2964.380000000001</v>
      </c>
      <c r="P22" s="164">
        <f t="shared" si="6"/>
        <v>-835.619999999999</v>
      </c>
      <c r="Q22" s="251"/>
      <c r="R22" s="106">
        <v>4000</v>
      </c>
      <c r="S22" s="99">
        <f t="shared" si="8"/>
        <v>-1035.619999999999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168109.86</v>
      </c>
      <c r="G23" s="148">
        <f t="shared" si="0"/>
        <v>-8942.73999999999</v>
      </c>
      <c r="H23" s="155">
        <f t="shared" si="3"/>
        <v>94.9491055200545</v>
      </c>
      <c r="I23" s="156">
        <f t="shared" si="4"/>
        <v>-233020.24</v>
      </c>
      <c r="J23" s="156">
        <f t="shared" si="5"/>
        <v>41.909061424211245</v>
      </c>
      <c r="K23" s="156">
        <v>140248.27</v>
      </c>
      <c r="L23" s="159">
        <f t="shared" si="1"/>
        <v>27861.589999999997</v>
      </c>
      <c r="M23" s="207">
        <f t="shared" si="2"/>
        <v>1.1986590636732988</v>
      </c>
      <c r="N23" s="155">
        <f>E23-квітень!E23</f>
        <v>38076.09999999998</v>
      </c>
      <c r="O23" s="158">
        <f>F23-квітень!F23</f>
        <v>26800.570000000007</v>
      </c>
      <c r="P23" s="159">
        <f t="shared" si="6"/>
        <v>-11275.52999999997</v>
      </c>
      <c r="Q23" s="156">
        <f t="shared" si="7"/>
        <v>70.38685684720868</v>
      </c>
      <c r="R23" s="280">
        <f>R24+R32+R33+R34+R35</f>
        <v>37059</v>
      </c>
      <c r="S23" s="99">
        <f t="shared" si="8"/>
        <v>-10258.429999999993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72436.33</v>
      </c>
      <c r="G24" s="148">
        <f t="shared" si="0"/>
        <v>-10271.569999999992</v>
      </c>
      <c r="H24" s="155">
        <f t="shared" si="3"/>
        <v>87.58090823246631</v>
      </c>
      <c r="I24" s="156">
        <f t="shared" si="4"/>
        <v>-134184.66999999998</v>
      </c>
      <c r="J24" s="156">
        <f t="shared" si="5"/>
        <v>35.0575836918803</v>
      </c>
      <c r="K24" s="156">
        <v>71540.14</v>
      </c>
      <c r="L24" s="159">
        <f t="shared" si="1"/>
        <v>896.1900000000023</v>
      </c>
      <c r="M24" s="207">
        <f t="shared" si="2"/>
        <v>1.0125270931815342</v>
      </c>
      <c r="N24" s="155">
        <f>E24-квітень!E24</f>
        <v>15364.099999999991</v>
      </c>
      <c r="O24" s="158">
        <f>F24-квітень!F24</f>
        <v>4759.3399999999965</v>
      </c>
      <c r="P24" s="159">
        <f t="shared" si="6"/>
        <v>-10604.759999999995</v>
      </c>
      <c r="Q24" s="156">
        <f t="shared" si="7"/>
        <v>30.97701785330738</v>
      </c>
      <c r="R24" s="106">
        <f>R25+R28+R29</f>
        <v>14352</v>
      </c>
      <c r="S24" s="99">
        <f t="shared" si="8"/>
        <v>-9592.660000000003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9941.11</v>
      </c>
      <c r="G25" s="169">
        <f t="shared" si="0"/>
        <v>357.0100000000002</v>
      </c>
      <c r="H25" s="171">
        <f t="shared" si="3"/>
        <v>103.72502373723145</v>
      </c>
      <c r="I25" s="172">
        <f t="shared" si="4"/>
        <v>-12867.89</v>
      </c>
      <c r="J25" s="172">
        <f t="shared" si="5"/>
        <v>43.584155377263365</v>
      </c>
      <c r="K25" s="173">
        <v>8640.15</v>
      </c>
      <c r="L25" s="164">
        <f t="shared" si="1"/>
        <v>1300.960000000001</v>
      </c>
      <c r="M25" s="213">
        <f t="shared" si="2"/>
        <v>1.1505714599862271</v>
      </c>
      <c r="N25" s="155">
        <f>E25-квітень!E25</f>
        <v>254.10000000000036</v>
      </c>
      <c r="O25" s="158">
        <f>F25-квітень!F25</f>
        <v>194.8000000000011</v>
      </c>
      <c r="P25" s="175">
        <f t="shared" si="6"/>
        <v>-59.29999999999927</v>
      </c>
      <c r="Q25" s="172">
        <f t="shared" si="7"/>
        <v>76.66273120818607</v>
      </c>
      <c r="R25" s="106">
        <v>347</v>
      </c>
      <c r="S25" s="99">
        <f t="shared" si="8"/>
        <v>-152.1999999999989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205.07</v>
      </c>
      <c r="G26" s="196">
        <f t="shared" si="0"/>
        <v>-399.93</v>
      </c>
      <c r="H26" s="197">
        <f t="shared" si="3"/>
        <v>33.89586776859504</v>
      </c>
      <c r="I26" s="198">
        <f t="shared" si="4"/>
        <v>-1617.23</v>
      </c>
      <c r="J26" s="198">
        <f t="shared" si="5"/>
        <v>11.253361137024639</v>
      </c>
      <c r="K26" s="198">
        <v>263.65</v>
      </c>
      <c r="L26" s="198">
        <f t="shared" si="1"/>
        <v>-58.579999999999984</v>
      </c>
      <c r="M26" s="226">
        <f t="shared" si="2"/>
        <v>0.7778114925090082</v>
      </c>
      <c r="N26" s="234">
        <f>E26-квітень!E26</f>
        <v>55</v>
      </c>
      <c r="O26" s="234">
        <f>F26-квітень!F26</f>
        <v>4.829999999999984</v>
      </c>
      <c r="P26" s="198">
        <f t="shared" si="6"/>
        <v>-50.170000000000016</v>
      </c>
      <c r="Q26" s="198">
        <f t="shared" si="7"/>
        <v>8.781818181818153</v>
      </c>
      <c r="R26" s="106"/>
      <c r="S26" s="99">
        <f t="shared" si="8"/>
        <v>4.829999999999984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9736.04</v>
      </c>
      <c r="G27" s="196">
        <f t="shared" si="0"/>
        <v>756.9400000000005</v>
      </c>
      <c r="H27" s="197">
        <f t="shared" si="3"/>
        <v>108.4300208261407</v>
      </c>
      <c r="I27" s="198">
        <f t="shared" si="4"/>
        <v>-11250.66</v>
      </c>
      <c r="J27" s="198">
        <f t="shared" si="5"/>
        <v>46.39147650654939</v>
      </c>
      <c r="K27" s="198">
        <v>8376.5</v>
      </c>
      <c r="L27" s="198">
        <f t="shared" si="1"/>
        <v>1359.5400000000009</v>
      </c>
      <c r="M27" s="226">
        <f t="shared" si="2"/>
        <v>1.1623040649435923</v>
      </c>
      <c r="N27" s="234">
        <f>E27-квітень!E27</f>
        <v>199.10000000000036</v>
      </c>
      <c r="O27" s="234">
        <f>F27-квітень!F27</f>
        <v>189.97000000000116</v>
      </c>
      <c r="P27" s="198">
        <f t="shared" si="6"/>
        <v>-9.1299999999992</v>
      </c>
      <c r="Q27" s="198">
        <f t="shared" si="7"/>
        <v>95.41436464088439</v>
      </c>
      <c r="R27" s="106"/>
      <c r="S27" s="99">
        <f t="shared" si="8"/>
        <v>189.97000000000116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-20.48</v>
      </c>
      <c r="G28" s="169">
        <f t="shared" si="0"/>
        <v>-149.28</v>
      </c>
      <c r="H28" s="171">
        <f t="shared" si="3"/>
        <v>-15.90062111801242</v>
      </c>
      <c r="I28" s="172">
        <f t="shared" si="4"/>
        <v>-840.48</v>
      </c>
      <c r="J28" s="172">
        <f t="shared" si="5"/>
        <v>-2.497560975609756</v>
      </c>
      <c r="K28" s="172">
        <v>420.08</v>
      </c>
      <c r="L28" s="172">
        <f t="shared" si="1"/>
        <v>-440.56</v>
      </c>
      <c r="M28" s="210">
        <f t="shared" si="2"/>
        <v>-0.04875261854884784</v>
      </c>
      <c r="N28" s="193">
        <f>E28-квітень!E28</f>
        <v>5.000000000000014</v>
      </c>
      <c r="O28" s="177">
        <f>F28-квітень!F28</f>
        <v>-125</v>
      </c>
      <c r="P28" s="175">
        <f t="shared" si="6"/>
        <v>-130</v>
      </c>
      <c r="Q28" s="172">
        <f>O28/N28*100</f>
        <v>-2499.9999999999927</v>
      </c>
      <c r="R28" s="106">
        <v>5</v>
      </c>
      <c r="S28" s="99">
        <f t="shared" si="8"/>
        <v>-130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62515.7</v>
      </c>
      <c r="G29" s="169">
        <f t="shared" si="0"/>
        <v>-10479.300000000003</v>
      </c>
      <c r="H29" s="171">
        <f t="shared" si="3"/>
        <v>85.64381121994657</v>
      </c>
      <c r="I29" s="172">
        <f t="shared" si="4"/>
        <v>-120476.3</v>
      </c>
      <c r="J29" s="172">
        <f t="shared" si="5"/>
        <v>34.16307816735158</v>
      </c>
      <c r="K29" s="173">
        <v>62479.91</v>
      </c>
      <c r="L29" s="173">
        <f t="shared" si="1"/>
        <v>35.7899999999936</v>
      </c>
      <c r="M29" s="209">
        <f t="shared" si="2"/>
        <v>1.0005728241285878</v>
      </c>
      <c r="N29" s="193">
        <f>E29-квітень!E29</f>
        <v>15105</v>
      </c>
      <c r="O29" s="177">
        <f>F29-квітень!F29</f>
        <v>4689.539999999994</v>
      </c>
      <c r="P29" s="175">
        <f t="shared" si="6"/>
        <v>-10415.460000000006</v>
      </c>
      <c r="Q29" s="172">
        <f>O29/N29*100</f>
        <v>31.046276067527266</v>
      </c>
      <c r="R29" s="106">
        <v>14000</v>
      </c>
      <c r="S29" s="99">
        <f t="shared" si="8"/>
        <v>-9310.460000000006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20724.35</v>
      </c>
      <c r="G30" s="196">
        <f t="shared" si="0"/>
        <v>-1355.6500000000015</v>
      </c>
      <c r="H30" s="197">
        <f t="shared" si="3"/>
        <v>93.86028079710145</v>
      </c>
      <c r="I30" s="198">
        <f t="shared" si="4"/>
        <v>-36808.65</v>
      </c>
      <c r="J30" s="198">
        <f t="shared" si="5"/>
        <v>36.021674517233585</v>
      </c>
      <c r="K30" s="198">
        <v>19348.56</v>
      </c>
      <c r="L30" s="198">
        <f t="shared" si="1"/>
        <v>1375.7899999999972</v>
      </c>
      <c r="M30" s="226">
        <f t="shared" si="2"/>
        <v>1.0711055499737447</v>
      </c>
      <c r="N30" s="234">
        <f>E30-квітень!E30</f>
        <v>4650</v>
      </c>
      <c r="O30" s="234">
        <f>F30-квітень!F30</f>
        <v>1419.8199999999997</v>
      </c>
      <c r="P30" s="198">
        <f t="shared" si="6"/>
        <v>-3230.1800000000003</v>
      </c>
      <c r="Q30" s="198">
        <f>O30/N30*100</f>
        <v>30.533763440860206</v>
      </c>
      <c r="R30" s="106"/>
      <c r="S30" s="99">
        <f t="shared" si="8"/>
        <v>1419.8199999999997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41791.35</v>
      </c>
      <c r="G31" s="196">
        <f t="shared" si="0"/>
        <v>-9123.650000000001</v>
      </c>
      <c r="H31" s="197">
        <f t="shared" si="3"/>
        <v>82.08062457036237</v>
      </c>
      <c r="I31" s="198">
        <f t="shared" si="4"/>
        <v>-83667.65</v>
      </c>
      <c r="J31" s="198">
        <f t="shared" si="5"/>
        <v>33.310762878709376</v>
      </c>
      <c r="K31" s="198">
        <v>43131.35</v>
      </c>
      <c r="L31" s="198">
        <f t="shared" si="1"/>
        <v>-1340</v>
      </c>
      <c r="M31" s="226">
        <f t="shared" si="2"/>
        <v>0.9689321108659942</v>
      </c>
      <c r="N31" s="234">
        <f>E31-квітень!E31</f>
        <v>10455</v>
      </c>
      <c r="O31" s="234">
        <f>F31-квітень!F31</f>
        <v>3269.720000000001</v>
      </c>
      <c r="P31" s="198">
        <f t="shared" si="6"/>
        <v>-7185.279999999999</v>
      </c>
      <c r="Q31" s="198">
        <f>O31/N31*100</f>
        <v>31.274222859875668</v>
      </c>
      <c r="R31" s="106"/>
      <c r="S31" s="99">
        <f t="shared" si="8"/>
        <v>3269.720000000001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71.83</v>
      </c>
      <c r="G33" s="148">
        <f t="shared" si="0"/>
        <v>32.83</v>
      </c>
      <c r="H33" s="155">
        <f t="shared" si="3"/>
        <v>184.17948717948718</v>
      </c>
      <c r="I33" s="156">
        <f t="shared" si="4"/>
        <v>-43.17</v>
      </c>
      <c r="J33" s="156">
        <f t="shared" si="5"/>
        <v>62.46086956521739</v>
      </c>
      <c r="K33" s="156">
        <v>51.14</v>
      </c>
      <c r="L33" s="156">
        <f t="shared" si="1"/>
        <v>20.689999999999998</v>
      </c>
      <c r="M33" s="208">
        <f>F33/K33</f>
        <v>1.4045756746186937</v>
      </c>
      <c r="N33" s="155">
        <f>E33-квітень!E33</f>
        <v>12</v>
      </c>
      <c r="O33" s="158">
        <f>F33-квітень!F33</f>
        <v>19.42</v>
      </c>
      <c r="P33" s="159">
        <f t="shared" si="6"/>
        <v>7.420000000000002</v>
      </c>
      <c r="Q33" s="156">
        <f>O33/N33*100</f>
        <v>161.83333333333334</v>
      </c>
      <c r="R33" s="106">
        <v>7</v>
      </c>
      <c r="S33" s="99">
        <f t="shared" si="8"/>
        <v>12.420000000000002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95628.27</v>
      </c>
      <c r="G35" s="160">
        <f t="shared" si="0"/>
        <v>1322.570000000007</v>
      </c>
      <c r="H35" s="162">
        <f t="shared" si="3"/>
        <v>101.40242848523474</v>
      </c>
      <c r="I35" s="163">
        <f t="shared" si="4"/>
        <v>-98765.83</v>
      </c>
      <c r="J35" s="163">
        <f t="shared" si="5"/>
        <v>49.192989910702025</v>
      </c>
      <c r="K35" s="176">
        <v>68766.7</v>
      </c>
      <c r="L35" s="176">
        <f>F35-K35</f>
        <v>26861.570000000007</v>
      </c>
      <c r="M35" s="224">
        <f>F35/K35</f>
        <v>1.3906188605822296</v>
      </c>
      <c r="N35" s="155">
        <f>E35-квітень!E35</f>
        <v>22700</v>
      </c>
      <c r="O35" s="158">
        <f>F35-квітень!F35</f>
        <v>22021.23000000001</v>
      </c>
      <c r="P35" s="165">
        <f t="shared" si="6"/>
        <v>-678.7699999999895</v>
      </c>
      <c r="Q35" s="163">
        <f>O35/N35*100</f>
        <v>97.0098237885463</v>
      </c>
      <c r="R35" s="106">
        <v>22700</v>
      </c>
      <c r="S35" s="99">
        <f t="shared" si="8"/>
        <v>-678.7699999999895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E36-квітень!E36</f>
        <v>0</v>
      </c>
      <c r="O36" s="142">
        <f>F36-квітень!F36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18970.9</v>
      </c>
      <c r="G37" s="102">
        <f t="shared" si="0"/>
        <v>50.900000000001455</v>
      </c>
      <c r="H37" s="104">
        <f t="shared" si="3"/>
        <v>100.26902748414376</v>
      </c>
      <c r="I37" s="103">
        <f t="shared" si="4"/>
        <v>-22029.1</v>
      </c>
      <c r="J37" s="103">
        <f t="shared" si="5"/>
        <v>46.27048780487805</v>
      </c>
      <c r="K37" s="126">
        <v>17552.06</v>
      </c>
      <c r="L37" s="126">
        <f t="shared" si="1"/>
        <v>1418.8400000000001</v>
      </c>
      <c r="M37" s="214">
        <f t="shared" si="9"/>
        <v>1.0808360955921983</v>
      </c>
      <c r="N37" s="104">
        <f>E37-квітень!E37</f>
        <v>5700</v>
      </c>
      <c r="O37" s="142">
        <f>F37-квітень!F37</f>
        <v>4972.480000000001</v>
      </c>
      <c r="P37" s="105">
        <f t="shared" si="6"/>
        <v>-727.5199999999986</v>
      </c>
      <c r="Q37" s="103">
        <f>O37/N37*100</f>
        <v>87.23649122807021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76634.26</v>
      </c>
      <c r="G38" s="102">
        <f t="shared" si="0"/>
        <v>1274.2599999999948</v>
      </c>
      <c r="H38" s="104">
        <f t="shared" si="3"/>
        <v>101.69089702760084</v>
      </c>
      <c r="I38" s="103">
        <f t="shared" si="4"/>
        <v>-76704.84000000001</v>
      </c>
      <c r="J38" s="103">
        <f t="shared" si="5"/>
        <v>49.97698564814844</v>
      </c>
      <c r="K38" s="126">
        <v>51200.46</v>
      </c>
      <c r="L38" s="126">
        <f t="shared" si="1"/>
        <v>25433.799999999996</v>
      </c>
      <c r="M38" s="214">
        <f t="shared" si="9"/>
        <v>1.4967494432667205</v>
      </c>
      <c r="N38" s="104">
        <f>E38-квітень!E38</f>
        <v>17000</v>
      </c>
      <c r="O38" s="142">
        <f>F38-квітень!F38</f>
        <v>17048.739999999998</v>
      </c>
      <c r="P38" s="105">
        <f t="shared" si="6"/>
        <v>48.73999999999796</v>
      </c>
      <c r="Q38" s="103">
        <f>O38/N38*100</f>
        <v>100.28670588235293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/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</f>
        <v>26765.979999999996</v>
      </c>
      <c r="G41" s="149">
        <f>G42+G43+G44+G45+G46+G48+G50+G51+G52+G53+G54+G59+G60+G64</f>
        <v>2008.4700000000005</v>
      </c>
      <c r="H41" s="150">
        <f>F41/E41*100</f>
        <v>107.93909014287844</v>
      </c>
      <c r="I41" s="151">
        <f>F41-D41</f>
        <v>-32259.020000000004</v>
      </c>
      <c r="J41" s="151">
        <f>F41/D41*100</f>
        <v>45.3468530283778</v>
      </c>
      <c r="K41" s="149">
        <v>22840.42</v>
      </c>
      <c r="L41" s="149">
        <f t="shared" si="1"/>
        <v>3925.5599999999977</v>
      </c>
      <c r="M41" s="203">
        <f t="shared" si="9"/>
        <v>1.1718689936524809</v>
      </c>
      <c r="N41" s="149">
        <f>N42+N43+N44+N45+N46+N48+N50+N51+N52+N53+N54+N59+N60+N64+N47</f>
        <v>5362.8</v>
      </c>
      <c r="O41" s="149">
        <f>O42+O43+O44+O45+O46+O48+O50+O51+O52+O53+O54+O59+O60+O64+O47</f>
        <v>7328.083999999999</v>
      </c>
      <c r="P41" s="149">
        <f>P42+P43+P44+P45+P46+P48+P50+P51+P52+P53+P54+P59+P60+P64</f>
        <v>1972.0839999999998</v>
      </c>
      <c r="Q41" s="149">
        <f>O41/N41*100</f>
        <v>136.64660252107106</v>
      </c>
      <c r="R41" s="15">
        <f>R42+R43+R44+R45+R46+R47+R48+R50+R51+R52+R53+R54+R59+R60+R64</f>
        <v>5273.700000000001</v>
      </c>
      <c r="S41" s="15">
        <f>O41-R41</f>
        <v>2054.383999999998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36">
        <v>420</v>
      </c>
      <c r="S42" s="36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430.09</v>
      </c>
      <c r="G46" s="160">
        <f t="shared" si="12"/>
        <v>324.09</v>
      </c>
      <c r="H46" s="162">
        <f t="shared" si="10"/>
        <v>405.7452830188679</v>
      </c>
      <c r="I46" s="163">
        <f t="shared" si="13"/>
        <v>170.08999999999997</v>
      </c>
      <c r="J46" s="163">
        <f t="shared" si="16"/>
        <v>165.41923076923075</v>
      </c>
      <c r="K46" s="163">
        <v>50.4</v>
      </c>
      <c r="L46" s="163">
        <f t="shared" si="1"/>
        <v>379.69</v>
      </c>
      <c r="M46" s="216">
        <f t="shared" si="17"/>
        <v>8.533531746031747</v>
      </c>
      <c r="N46" s="162">
        <f>E46-квітень!E46</f>
        <v>22</v>
      </c>
      <c r="O46" s="166">
        <f>F46-квітень!F46</f>
        <v>35.60699999999997</v>
      </c>
      <c r="P46" s="165">
        <f t="shared" si="14"/>
        <v>13.606999999999971</v>
      </c>
      <c r="Q46" s="163">
        <f t="shared" si="11"/>
        <v>161.84999999999988</v>
      </c>
      <c r="R46" s="36">
        <v>22</v>
      </c>
      <c r="S46" s="36">
        <f t="shared" si="15"/>
        <v>13.606999999999971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476.92</v>
      </c>
      <c r="G48" s="160">
        <f t="shared" si="12"/>
        <v>76.92000000000002</v>
      </c>
      <c r="H48" s="162">
        <f t="shared" si="10"/>
        <v>119.23000000000002</v>
      </c>
      <c r="I48" s="163">
        <f t="shared" si="13"/>
        <v>-253.07999999999998</v>
      </c>
      <c r="J48" s="163">
        <f t="shared" si="16"/>
        <v>65.33150684931506</v>
      </c>
      <c r="K48" s="163">
        <v>76.33</v>
      </c>
      <c r="L48" s="163">
        <f t="shared" si="1"/>
        <v>400.59000000000003</v>
      </c>
      <c r="M48" s="216"/>
      <c r="N48" s="162">
        <f>E48-квітень!E48</f>
        <v>60</v>
      </c>
      <c r="O48" s="166">
        <f>F48-квітень!F48</f>
        <v>83.44999999999999</v>
      </c>
      <c r="P48" s="165">
        <f t="shared" si="14"/>
        <v>23.44999999999999</v>
      </c>
      <c r="Q48" s="163">
        <f t="shared" si="11"/>
        <v>139.08333333333331</v>
      </c>
      <c r="R48" s="36">
        <v>60</v>
      </c>
      <c r="S48" s="36">
        <f t="shared" si="15"/>
        <v>23.44999999999999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5802.39</v>
      </c>
      <c r="G50" s="160">
        <f t="shared" si="12"/>
        <v>662.3900000000003</v>
      </c>
      <c r="H50" s="162">
        <f t="shared" si="10"/>
        <v>112.88696498054476</v>
      </c>
      <c r="I50" s="163">
        <f t="shared" si="13"/>
        <v>-5197.61</v>
      </c>
      <c r="J50" s="163">
        <f t="shared" si="16"/>
        <v>52.749</v>
      </c>
      <c r="K50" s="163">
        <v>4057.41</v>
      </c>
      <c r="L50" s="163">
        <f t="shared" si="1"/>
        <v>1744.9800000000005</v>
      </c>
      <c r="M50" s="216">
        <f t="shared" si="17"/>
        <v>1.430072386078804</v>
      </c>
      <c r="N50" s="162">
        <f>E50-квітень!E50</f>
        <v>900</v>
      </c>
      <c r="O50" s="166">
        <f>F50-квітень!F50</f>
        <v>1120.88</v>
      </c>
      <c r="P50" s="165">
        <f t="shared" si="14"/>
        <v>220.8800000000001</v>
      </c>
      <c r="Q50" s="163">
        <f t="shared" si="11"/>
        <v>124.54222222222225</v>
      </c>
      <c r="R50" s="36">
        <v>1000</v>
      </c>
      <c r="S50" s="36">
        <f t="shared" si="15"/>
        <v>120.88000000000011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205.73</v>
      </c>
      <c r="G51" s="160">
        <f t="shared" si="12"/>
        <v>80.72999999999999</v>
      </c>
      <c r="H51" s="162">
        <f t="shared" si="10"/>
        <v>164.584</v>
      </c>
      <c r="I51" s="163">
        <f t="shared" si="13"/>
        <v>-104.27000000000001</v>
      </c>
      <c r="J51" s="163">
        <f t="shared" si="16"/>
        <v>66.36451612903225</v>
      </c>
      <c r="K51" s="163">
        <v>33.93</v>
      </c>
      <c r="L51" s="163">
        <f t="shared" si="1"/>
        <v>171.79999999999998</v>
      </c>
      <c r="M51" s="216"/>
      <c r="N51" s="162">
        <f>E51-квітень!E51</f>
        <v>25</v>
      </c>
      <c r="O51" s="166">
        <f>F51-квітень!F51</f>
        <v>30.359999999999985</v>
      </c>
      <c r="P51" s="165">
        <f t="shared" si="14"/>
        <v>5.359999999999985</v>
      </c>
      <c r="Q51" s="163">
        <f t="shared" si="11"/>
        <v>121.43999999999994</v>
      </c>
      <c r="R51" s="36">
        <v>25</v>
      </c>
      <c r="S51" s="36">
        <f t="shared" si="15"/>
        <v>5.359999999999985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320.03</v>
      </c>
      <c r="G54" s="160">
        <f t="shared" si="12"/>
        <v>-154.97000000000003</v>
      </c>
      <c r="H54" s="162">
        <f t="shared" si="10"/>
        <v>67.37473684210525</v>
      </c>
      <c r="I54" s="163">
        <f t="shared" si="13"/>
        <v>-879.97</v>
      </c>
      <c r="J54" s="163">
        <f t="shared" si="16"/>
        <v>26.669166666666666</v>
      </c>
      <c r="K54" s="163">
        <v>2573.46</v>
      </c>
      <c r="L54" s="163">
        <f t="shared" si="1"/>
        <v>-2253.4300000000003</v>
      </c>
      <c r="M54" s="216">
        <f t="shared" si="17"/>
        <v>0.12435786839507898</v>
      </c>
      <c r="N54" s="162">
        <f>E54-квітень!E54</f>
        <v>145</v>
      </c>
      <c r="O54" s="166">
        <f>F54-квітень!F54</f>
        <v>30.767999999999972</v>
      </c>
      <c r="P54" s="165">
        <f t="shared" si="14"/>
        <v>-114.23200000000003</v>
      </c>
      <c r="Q54" s="163">
        <f t="shared" si="11"/>
        <v>21.219310344827566</v>
      </c>
      <c r="R54" s="36">
        <v>70</v>
      </c>
      <c r="S54" s="36">
        <f t="shared" si="15"/>
        <v>-39.23200000000003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279.15</v>
      </c>
      <c r="G55" s="33">
        <f t="shared" si="12"/>
        <v>-120.85000000000002</v>
      </c>
      <c r="H55" s="29">
        <f t="shared" si="10"/>
        <v>69.7875</v>
      </c>
      <c r="I55" s="103">
        <f t="shared" si="13"/>
        <v>-718.85</v>
      </c>
      <c r="J55" s="103">
        <f t="shared" si="16"/>
        <v>27.97094188376753</v>
      </c>
      <c r="K55" s="103">
        <v>367.55</v>
      </c>
      <c r="L55" s="103">
        <f>F55-K55</f>
        <v>-88.40000000000003</v>
      </c>
      <c r="M55" s="108">
        <f t="shared" si="17"/>
        <v>0.7594885049653107</v>
      </c>
      <c r="N55" s="104">
        <f>E55-квітень!E55</f>
        <v>130</v>
      </c>
      <c r="O55" s="142">
        <f>F55-квітень!F55</f>
        <v>23.769999999999982</v>
      </c>
      <c r="P55" s="105">
        <f t="shared" si="14"/>
        <v>-106.23000000000002</v>
      </c>
      <c r="Q55" s="118">
        <f t="shared" si="11"/>
        <v>18.28461538461537</v>
      </c>
      <c r="R55" s="36"/>
      <c r="S55" s="36">
        <f t="shared" si="15"/>
        <v>23.769999999999982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0.13</v>
      </c>
      <c r="G56" s="33">
        <f t="shared" si="12"/>
        <v>0.13</v>
      </c>
      <c r="H56" s="29" t="e">
        <f t="shared" si="10"/>
        <v>#DIV/0!</v>
      </c>
      <c r="I56" s="103">
        <f t="shared" si="13"/>
        <v>-0.87</v>
      </c>
      <c r="J56" s="103">
        <f t="shared" si="16"/>
        <v>13</v>
      </c>
      <c r="K56" s="103">
        <v>0.23</v>
      </c>
      <c r="L56" s="103">
        <f>F56-K56</f>
        <v>-0.1</v>
      </c>
      <c r="M56" s="108">
        <f t="shared" si="17"/>
        <v>0.5652173913043478</v>
      </c>
      <c r="N56" s="104">
        <f>E56-квітень!E56</f>
        <v>0</v>
      </c>
      <c r="O56" s="142">
        <f>F56-квітень!F56</f>
        <v>0.010000000000000009</v>
      </c>
      <c r="P56" s="105">
        <f t="shared" si="14"/>
        <v>0.010000000000000009</v>
      </c>
      <c r="Q56" s="118" t="e">
        <f t="shared" si="11"/>
        <v>#DIV/0!</v>
      </c>
      <c r="R56" s="36"/>
      <c r="S56" s="36">
        <f t="shared" si="15"/>
        <v>0.010000000000000009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40.74</v>
      </c>
      <c r="G58" s="33">
        <f t="shared" si="12"/>
        <v>-34.26</v>
      </c>
      <c r="H58" s="29">
        <f t="shared" si="10"/>
        <v>54.32</v>
      </c>
      <c r="I58" s="103">
        <f t="shared" si="13"/>
        <v>-159.26</v>
      </c>
      <c r="J58" s="103">
        <f t="shared" si="16"/>
        <v>20.37</v>
      </c>
      <c r="K58" s="103">
        <v>2205.67</v>
      </c>
      <c r="L58" s="103">
        <f>F58-K58</f>
        <v>-2164.9300000000003</v>
      </c>
      <c r="M58" s="108">
        <f t="shared" si="17"/>
        <v>0.018470578100985187</v>
      </c>
      <c r="N58" s="104">
        <f>E58-квітень!E58</f>
        <v>15</v>
      </c>
      <c r="O58" s="142">
        <f>F58-квітень!F58</f>
        <v>6.969999999999999</v>
      </c>
      <c r="P58" s="105">
        <f t="shared" si="14"/>
        <v>-8.030000000000001</v>
      </c>
      <c r="Q58" s="118">
        <f t="shared" si="11"/>
        <v>46.46666666666666</v>
      </c>
      <c r="R58" s="36"/>
      <c r="S58" s="36">
        <f t="shared" si="15"/>
        <v>6.969999999999999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3960.73</v>
      </c>
      <c r="G60" s="160">
        <f t="shared" si="12"/>
        <v>-299.27</v>
      </c>
      <c r="H60" s="162">
        <f t="shared" si="10"/>
        <v>92.97488262910798</v>
      </c>
      <c r="I60" s="163">
        <f t="shared" si="13"/>
        <v>-3389.27</v>
      </c>
      <c r="J60" s="163">
        <f t="shared" si="16"/>
        <v>53.88748299319728</v>
      </c>
      <c r="K60" s="163">
        <v>2320.11</v>
      </c>
      <c r="L60" s="163">
        <f aca="true" t="shared" si="18" ref="L60:L66">F60-K60</f>
        <v>1640.62</v>
      </c>
      <c r="M60" s="216">
        <f t="shared" si="17"/>
        <v>1.7071302653753484</v>
      </c>
      <c r="N60" s="162">
        <f>E60-квітень!E60</f>
        <v>600</v>
      </c>
      <c r="O60" s="166">
        <f>F60-квітень!F60</f>
        <v>424.51800000000003</v>
      </c>
      <c r="P60" s="165">
        <f t="shared" si="14"/>
        <v>-175.48199999999997</v>
      </c>
      <c r="Q60" s="163">
        <f t="shared" si="11"/>
        <v>70.75300000000001</v>
      </c>
      <c r="R60" s="36">
        <v>450</v>
      </c>
      <c r="S60" s="36">
        <f t="shared" si="15"/>
        <v>-25.48199999999997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847.59</v>
      </c>
      <c r="G62" s="160"/>
      <c r="H62" s="162"/>
      <c r="I62" s="163"/>
      <c r="J62" s="163"/>
      <c r="K62" s="164">
        <v>478.67</v>
      </c>
      <c r="L62" s="163">
        <f t="shared" si="18"/>
        <v>368.92</v>
      </c>
      <c r="M62" s="216">
        <f t="shared" si="17"/>
        <v>1.7707188668602587</v>
      </c>
      <c r="N62" s="193"/>
      <c r="O62" s="177">
        <f>F62-квітень!F62</f>
        <v>207.89999999999998</v>
      </c>
      <c r="P62" s="164"/>
      <c r="Q62" s="163"/>
      <c r="R62" s="36"/>
      <c r="S62" s="36">
        <f t="shared" si="15"/>
        <v>207.89999999999998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498725.01</v>
      </c>
      <c r="G67" s="149">
        <f>F67-E67</f>
        <v>-30782.290000000037</v>
      </c>
      <c r="H67" s="150">
        <f>F67/E67*100</f>
        <v>94.18661650179327</v>
      </c>
      <c r="I67" s="151">
        <f>F67-D67</f>
        <v>-858766.0900000001</v>
      </c>
      <c r="J67" s="151">
        <f>F67/D67*100</f>
        <v>36.73873147308295</v>
      </c>
      <c r="K67" s="151">
        <v>397849.29</v>
      </c>
      <c r="L67" s="151">
        <f>F67-K67</f>
        <v>100875.72000000003</v>
      </c>
      <c r="M67" s="217">
        <f>F67/K67</f>
        <v>1.2535525952553541</v>
      </c>
      <c r="N67" s="149">
        <f>N8+N41+N65+N66</f>
        <v>112090.19999999998</v>
      </c>
      <c r="O67" s="149">
        <f>O8+O41+O65+O66</f>
        <v>78963.25600000002</v>
      </c>
      <c r="P67" s="153">
        <f>O67-N67</f>
        <v>-33126.94399999996</v>
      </c>
      <c r="Q67" s="151">
        <f>O67/N67*100</f>
        <v>70.44617281439415</v>
      </c>
      <c r="R67" s="26">
        <f>R8+R41+R65+R66</f>
        <v>109914</v>
      </c>
      <c r="S67" s="277">
        <f>O67-R67</f>
        <v>-30950.743999999977</v>
      </c>
      <c r="T67" s="277"/>
      <c r="U67" s="114">
        <f>O67/34768</f>
        <v>2.271147491946618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4115.7</v>
      </c>
      <c r="G78" s="160">
        <f t="shared" si="19"/>
        <v>-8234.3</v>
      </c>
      <c r="H78" s="162">
        <f>F78/E78*100</f>
        <v>33.3255060728745</v>
      </c>
      <c r="I78" s="165">
        <f t="shared" si="20"/>
        <v>-74884.3</v>
      </c>
      <c r="J78" s="165">
        <f>F78/D78*100</f>
        <v>5.209746835443037</v>
      </c>
      <c r="K78" s="165">
        <v>9113.39</v>
      </c>
      <c r="L78" s="165">
        <f t="shared" si="21"/>
        <v>-4997.69</v>
      </c>
      <c r="M78" s="207">
        <f>F78/K78</f>
        <v>0.4516102131040151</v>
      </c>
      <c r="N78" s="162">
        <f>E78-квітень!E78</f>
        <v>3850</v>
      </c>
      <c r="O78" s="166">
        <f>F78-квітень!F78</f>
        <v>2294.25</v>
      </c>
      <c r="P78" s="165">
        <f t="shared" si="22"/>
        <v>-1555.75</v>
      </c>
      <c r="Q78" s="165">
        <f>O78/N78*100</f>
        <v>59.59090909090909</v>
      </c>
      <c r="R78" s="37">
        <v>1500</v>
      </c>
      <c r="S78" s="37">
        <f t="shared" si="23"/>
        <v>794.25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4426.73</v>
      </c>
      <c r="G80" s="183">
        <f t="shared" si="19"/>
        <v>-24458.27</v>
      </c>
      <c r="H80" s="184">
        <f>F80/E80*100</f>
        <v>15.325359182966935</v>
      </c>
      <c r="I80" s="185">
        <f t="shared" si="20"/>
        <v>-232791.3</v>
      </c>
      <c r="J80" s="185">
        <f>F80/D80*100</f>
        <v>1.8661018304552988</v>
      </c>
      <c r="K80" s="185">
        <v>11029.59</v>
      </c>
      <c r="L80" s="185">
        <f t="shared" si="21"/>
        <v>-6602.860000000001</v>
      </c>
      <c r="M80" s="212">
        <f>F80/K80</f>
        <v>0.4013503675113943</v>
      </c>
      <c r="N80" s="183">
        <f>N76+N77+N78+N79</f>
        <v>11951</v>
      </c>
      <c r="O80" s="187">
        <f>O76+O77+O78+O79</f>
        <v>2297.24</v>
      </c>
      <c r="P80" s="185">
        <f t="shared" si="22"/>
        <v>-9653.76</v>
      </c>
      <c r="Q80" s="185">
        <f>O80/N80*100</f>
        <v>19.222157141661782</v>
      </c>
      <c r="R80" s="38">
        <f>SUM(R76:R79)</f>
        <v>1701</v>
      </c>
      <c r="S80" s="38">
        <f t="shared" si="23"/>
        <v>596.2399999999998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9.42</v>
      </c>
      <c r="G81" s="160">
        <f t="shared" si="19"/>
        <v>5.92</v>
      </c>
      <c r="H81" s="162"/>
      <c r="I81" s="165">
        <f t="shared" si="20"/>
        <v>-30.58</v>
      </c>
      <c r="J81" s="165"/>
      <c r="K81" s="165">
        <v>4.4</v>
      </c>
      <c r="L81" s="165">
        <f t="shared" si="21"/>
        <v>5.02</v>
      </c>
      <c r="M81" s="207">
        <f>F81/K81</f>
        <v>2.1409090909090907</v>
      </c>
      <c r="N81" s="162">
        <f>E81-квітень!E81</f>
        <v>1</v>
      </c>
      <c r="O81" s="166">
        <f>F81-квітень!F81</f>
        <v>0.16999999999999993</v>
      </c>
      <c r="P81" s="165">
        <f t="shared" si="22"/>
        <v>-0.8300000000000001</v>
      </c>
      <c r="Q81" s="165"/>
      <c r="R81" s="37">
        <v>1</v>
      </c>
      <c r="S81" s="37">
        <f t="shared" si="23"/>
        <v>-0.8300000000000001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5103.16</v>
      </c>
      <c r="G83" s="160">
        <f t="shared" si="19"/>
        <v>596.6599999999999</v>
      </c>
      <c r="H83" s="162">
        <f>F83/E83*100</f>
        <v>113.23998668589815</v>
      </c>
      <c r="I83" s="165">
        <f t="shared" si="20"/>
        <v>-3256.84</v>
      </c>
      <c r="J83" s="165">
        <f>F83/D83*100</f>
        <v>61.04258373205741</v>
      </c>
      <c r="K83" s="165">
        <v>4887.77</v>
      </c>
      <c r="L83" s="165">
        <f t="shared" si="21"/>
        <v>215.38999999999942</v>
      </c>
      <c r="M83" s="207"/>
      <c r="N83" s="162">
        <f>E83-квітень!E83</f>
        <v>2141.3</v>
      </c>
      <c r="O83" s="166">
        <f>F83-квітень!F83</f>
        <v>2871.62</v>
      </c>
      <c r="P83" s="165">
        <f>O83-N83</f>
        <v>730.3199999999997</v>
      </c>
      <c r="Q83" s="188">
        <f>O83/N83*100</f>
        <v>134.10638397235323</v>
      </c>
      <c r="R83" s="40">
        <v>2850</v>
      </c>
      <c r="S83" s="285">
        <f t="shared" si="23"/>
        <v>21.61999999999989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5112.63</v>
      </c>
      <c r="G85" s="181">
        <f>G81+G84+G82+G83</f>
        <v>602.6299999999999</v>
      </c>
      <c r="H85" s="184">
        <f>F85/E85*100</f>
        <v>113.36208425720622</v>
      </c>
      <c r="I85" s="185">
        <f t="shared" si="20"/>
        <v>-3287.37</v>
      </c>
      <c r="J85" s="185">
        <f>F85/D85*100</f>
        <v>60.86464285714286</v>
      </c>
      <c r="K85" s="185">
        <v>4892.86</v>
      </c>
      <c r="L85" s="185">
        <f t="shared" si="21"/>
        <v>219.77000000000044</v>
      </c>
      <c r="M85" s="218">
        <f t="shared" si="24"/>
        <v>1.0449164701217695</v>
      </c>
      <c r="N85" s="183">
        <f>N81+N84+N82+N83</f>
        <v>2142.3</v>
      </c>
      <c r="O85" s="187">
        <f>O81+O84+O82+O83</f>
        <v>2871.81</v>
      </c>
      <c r="P85" s="183">
        <f>P81+P84+P82+P83</f>
        <v>729.5099999999998</v>
      </c>
      <c r="Q85" s="185">
        <f>O85/N85*100</f>
        <v>134.05265368995939</v>
      </c>
      <c r="R85" s="38">
        <f>SUM(R81:R84)</f>
        <v>2851</v>
      </c>
      <c r="S85" s="38">
        <f t="shared" si="23"/>
        <v>20.809999999999945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7.6</v>
      </c>
      <c r="G86" s="160">
        <f t="shared" si="19"/>
        <v>-7.700000000000001</v>
      </c>
      <c r="H86" s="162">
        <f>F86/E86*100</f>
        <v>49.67320261437908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4"/>
        <v>0.8269858541893362</v>
      </c>
      <c r="N86" s="162">
        <f>E86-квітень!E86</f>
        <v>1.200000000000001</v>
      </c>
      <c r="O86" s="166">
        <f>F86-квітень!F86</f>
        <v>0</v>
      </c>
      <c r="P86" s="165">
        <f t="shared" si="22"/>
        <v>-1.200000000000001</v>
      </c>
      <c r="Q86" s="165">
        <f>O86/N86</f>
        <v>0</v>
      </c>
      <c r="R86" s="37">
        <v>1.2</v>
      </c>
      <c r="S86" s="37">
        <f t="shared" si="23"/>
        <v>-1.2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9579.9</v>
      </c>
      <c r="G88" s="190">
        <f>F88-E88</f>
        <v>-23830.4</v>
      </c>
      <c r="H88" s="191">
        <f>F88/E88*100</f>
        <v>28.673492904882625</v>
      </c>
      <c r="I88" s="192">
        <f>F88-D88</f>
        <v>-236076.13</v>
      </c>
      <c r="J88" s="192">
        <f>F88/D88*100</f>
        <v>3.8997210856171534</v>
      </c>
      <c r="K88" s="192">
        <v>15931.38</v>
      </c>
      <c r="L88" s="192">
        <f>F88-K88</f>
        <v>-6351.48</v>
      </c>
      <c r="M88" s="219">
        <f t="shared" si="24"/>
        <v>0.6013226726121654</v>
      </c>
      <c r="N88" s="189">
        <f>N74+N75+N80+N85+N86</f>
        <v>14094.5</v>
      </c>
      <c r="O88" s="189">
        <f>O74+O75+O80+O85+O86</f>
        <v>5166.41</v>
      </c>
      <c r="P88" s="192">
        <f t="shared" si="22"/>
        <v>-8928.09</v>
      </c>
      <c r="Q88" s="192">
        <f>O88/N88*100</f>
        <v>36.65550391996878</v>
      </c>
      <c r="R88" s="26">
        <f>R80+R85+R86+R87</f>
        <v>4553.2</v>
      </c>
      <c r="S88" s="26">
        <f>S80+S85+S86+S87</f>
        <v>615.8499999999997</v>
      </c>
      <c r="T88" s="26"/>
      <c r="U88" s="94">
        <f>O88/8104.96</f>
        <v>0.6374380626184459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508304.91000000003</v>
      </c>
      <c r="G89" s="190">
        <f>F89-E89</f>
        <v>-54612.69000000006</v>
      </c>
      <c r="H89" s="191">
        <f>F89/E89*100</f>
        <v>90.29827989034274</v>
      </c>
      <c r="I89" s="192">
        <f>F89-D89</f>
        <v>-1094842.2200000002</v>
      </c>
      <c r="J89" s="192">
        <f>F89/D89*100</f>
        <v>31.706691200576202</v>
      </c>
      <c r="K89" s="192">
        <f>K67+K88</f>
        <v>413780.67</v>
      </c>
      <c r="L89" s="192">
        <f>F89-K89</f>
        <v>94524.24000000005</v>
      </c>
      <c r="M89" s="219">
        <f t="shared" si="24"/>
        <v>1.2284404440642431</v>
      </c>
      <c r="N89" s="190">
        <f>N67+N88</f>
        <v>126184.69999999998</v>
      </c>
      <c r="O89" s="190">
        <f>O67+O88</f>
        <v>84129.66600000003</v>
      </c>
      <c r="P89" s="192">
        <f t="shared" si="22"/>
        <v>-42055.033999999956</v>
      </c>
      <c r="Q89" s="192">
        <f>O89/N89*100</f>
        <v>66.6718437338283</v>
      </c>
      <c r="R89" s="26">
        <f>R67+R88</f>
        <v>114467.2</v>
      </c>
      <c r="S89" s="26">
        <f>S67+S88</f>
        <v>-30334.89399999998</v>
      </c>
      <c r="T89" s="26"/>
      <c r="U89" s="94">
        <f>O89/42872.96</f>
        <v>1.9623013199928354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5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6625.3887999999915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42879</v>
      </c>
      <c r="D93" s="28">
        <v>1960.9</v>
      </c>
      <c r="G93" s="4" t="s">
        <v>58</v>
      </c>
      <c r="O93" s="295"/>
      <c r="P93" s="295"/>
    </row>
    <row r="94" spans="3:16" ht="15">
      <c r="C94" s="80">
        <v>42878</v>
      </c>
      <c r="D94" s="28">
        <v>2664.4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42877</v>
      </c>
      <c r="D95" s="28">
        <v>4502.9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0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694.97</v>
      </c>
      <c r="G100" s="67">
        <f>G48+G51+G52</f>
        <v>162.97</v>
      </c>
      <c r="H100" s="68"/>
      <c r="I100" s="68"/>
      <c r="N100" s="28">
        <f>N48+N51+N52</f>
        <v>88</v>
      </c>
      <c r="O100" s="200">
        <f>O48+O51+O52</f>
        <v>114.76999999999998</v>
      </c>
      <c r="P100" s="28">
        <f>P48+P51+P52</f>
        <v>26.769999999999975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474172.63000000006</v>
      </c>
      <c r="G102" s="28">
        <f>F102-E102</f>
        <v>-30799.869999999937</v>
      </c>
      <c r="H102" s="228">
        <f>F102/E102</f>
        <v>0.9390068370059756</v>
      </c>
      <c r="I102" s="28">
        <f>F102-D102</f>
        <v>-824875.97</v>
      </c>
      <c r="J102" s="228">
        <f>F102/D102</f>
        <v>0.36501531197524095</v>
      </c>
      <c r="N102" s="28">
        <f>N9+N15+N17+N18+N19+N23+N42+N45+N65+N59</f>
        <v>106907.39999999998</v>
      </c>
      <c r="O102" s="227">
        <f>O9+O15+O17+O18+O19+O23+O42+O45+O65+O59</f>
        <v>74020.80200000003</v>
      </c>
      <c r="P102" s="28">
        <f>O102-N102</f>
        <v>-32886.597999999954</v>
      </c>
      <c r="Q102" s="228">
        <f>O102/N102</f>
        <v>0.6923823982250064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24551.889999999996</v>
      </c>
      <c r="G103" s="28">
        <f>G43+G44+G46+G48+G50+G51+G52+G53+G54+G60+G64+G47</f>
        <v>22.34000000000035</v>
      </c>
      <c r="H103" s="228">
        <f>F103/E103</f>
        <v>1.0006965616185988</v>
      </c>
      <c r="I103" s="28">
        <f>I43+I44+I46+I48+I50+I51+I52+I53+I54+I60+I64+I47</f>
        <v>-33885.36</v>
      </c>
      <c r="J103" s="228">
        <f>F103/D103</f>
        <v>0.4201033494460366</v>
      </c>
      <c r="K103" s="28">
        <f aca="true" t="shared" si="25" ref="K103:P103">K43+K44+K46+K48+K50+K51+K52+K53+K54+K60+K64+K47</f>
        <v>22597.689999999995</v>
      </c>
      <c r="L103" s="28">
        <f t="shared" si="25"/>
        <v>1959.450000000001</v>
      </c>
      <c r="M103" s="28">
        <f t="shared" si="25"/>
        <v>17.323054985635437</v>
      </c>
      <c r="N103" s="28">
        <f>N43+N44+N46+N48+N50+N51+N52+N53+N54+N60+N64+N47+N66</f>
        <v>5182.8</v>
      </c>
      <c r="O103" s="227">
        <f>O43+O44+O46+O48+O50+O51+O52+O53+O54+O60+O64+O47+O66</f>
        <v>4942.454</v>
      </c>
      <c r="P103" s="28">
        <f t="shared" si="25"/>
        <v>-240.34600000000046</v>
      </c>
      <c r="Q103" s="228">
        <f>O103/N103</f>
        <v>0.953626225206452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498724.5200000001</v>
      </c>
      <c r="G104" s="28">
        <f t="shared" si="26"/>
        <v>-30777.529999999937</v>
      </c>
      <c r="H104" s="228">
        <f>F104/E104</f>
        <v>0.9418652396293687</v>
      </c>
      <c r="I104" s="28">
        <f t="shared" si="26"/>
        <v>-858761.33</v>
      </c>
      <c r="J104" s="228">
        <f>F104/D104</f>
        <v>0.3673869537708203</v>
      </c>
      <c r="K104" s="28">
        <f t="shared" si="26"/>
        <v>22597.689999999995</v>
      </c>
      <c r="L104" s="28">
        <f t="shared" si="26"/>
        <v>1959.450000000001</v>
      </c>
      <c r="M104" s="28">
        <f t="shared" si="26"/>
        <v>17.323054985635437</v>
      </c>
      <c r="N104" s="28">
        <f t="shared" si="26"/>
        <v>112090.19999999998</v>
      </c>
      <c r="O104" s="227">
        <f t="shared" si="26"/>
        <v>78963.25600000002</v>
      </c>
      <c r="P104" s="28">
        <f t="shared" si="26"/>
        <v>-33126.94399999995</v>
      </c>
      <c r="Q104" s="228">
        <f>O104/N104</f>
        <v>0.7044617281439415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0.4899999999324791</v>
      </c>
      <c r="G105" s="28">
        <f t="shared" si="27"/>
        <v>-4.760000000100263</v>
      </c>
      <c r="H105" s="228"/>
      <c r="I105" s="28">
        <f t="shared" si="27"/>
        <v>-4.7600000001257285</v>
      </c>
      <c r="J105" s="228"/>
      <c r="K105" s="28">
        <f t="shared" si="27"/>
        <v>375251.6</v>
      </c>
      <c r="L105" s="28">
        <f t="shared" si="27"/>
        <v>98916.27000000003</v>
      </c>
      <c r="M105" s="28">
        <f t="shared" si="27"/>
        <v>-16.069502390380084</v>
      </c>
      <c r="N105" s="28">
        <f t="shared" si="27"/>
        <v>0</v>
      </c>
      <c r="O105" s="28">
        <f t="shared" si="27"/>
        <v>0</v>
      </c>
      <c r="P105" s="28">
        <f t="shared" si="27"/>
        <v>0</v>
      </c>
      <c r="Q105" s="28"/>
      <c r="R105" s="28">
        <f t="shared" si="27"/>
        <v>109914</v>
      </c>
      <c r="S105" s="28"/>
      <c r="T105" s="28"/>
      <c r="U105" s="28">
        <f t="shared" si="27"/>
        <v>2.271147491946618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29834.22</v>
      </c>
      <c r="G111" s="190">
        <f>F111-E111</f>
        <v>-21678.14</v>
      </c>
      <c r="H111" s="191">
        <f>F111/E111*100</f>
        <v>57.91662428201698</v>
      </c>
      <c r="I111" s="192">
        <f>F111-D111</f>
        <v>-288230.03</v>
      </c>
      <c r="J111" s="192">
        <f>F111/D111*100</f>
        <v>9.379935028850303</v>
      </c>
      <c r="K111" s="192">
        <v>3039.87</v>
      </c>
      <c r="L111" s="192">
        <f>F111-K111</f>
        <v>26794.350000000002</v>
      </c>
      <c r="M111" s="266">
        <f>F111/K111</f>
        <v>9.814307848690898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528559.23</v>
      </c>
      <c r="G112" s="190">
        <f>F112-E112</f>
        <v>-52460.43000000005</v>
      </c>
      <c r="H112" s="191">
        <f>F112/E112*100</f>
        <v>90.97097161910148</v>
      </c>
      <c r="I112" s="192">
        <f>F112-D112</f>
        <v>-1146996.12</v>
      </c>
      <c r="J112" s="192">
        <f>F112/D112*100</f>
        <v>31.545316005227757</v>
      </c>
      <c r="K112" s="192">
        <f>K89+K111</f>
        <v>416820.54</v>
      </c>
      <c r="L112" s="192">
        <f>F112-K112</f>
        <v>111738.69</v>
      </c>
      <c r="M112" s="266">
        <f>F112/K112</f>
        <v>1.268073857396759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1074388.31</v>
      </c>
      <c r="G124" s="275">
        <f t="shared" si="29"/>
        <v>-57286.94999999995</v>
      </c>
      <c r="H124" s="274">
        <f t="shared" si="31"/>
        <v>94.93786318170461</v>
      </c>
      <c r="I124" s="276">
        <f t="shared" si="30"/>
        <v>-1824035.73</v>
      </c>
      <c r="J124" s="276">
        <f t="shared" si="32"/>
        <v>37.06801679715574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3" t="s">
        <v>183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5"/>
      <c r="T1" s="85"/>
      <c r="U1" s="86"/>
    </row>
    <row r="2" spans="2:21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178</v>
      </c>
      <c r="O3" s="324" t="s">
        <v>177</v>
      </c>
      <c r="P3" s="324"/>
      <c r="Q3" s="324"/>
      <c r="R3" s="324"/>
      <c r="S3" s="324"/>
      <c r="T3" s="324"/>
      <c r="U3" s="324"/>
    </row>
    <row r="4" spans="1:21" ht="22.5" customHeight="1">
      <c r="A4" s="315"/>
      <c r="B4" s="317"/>
      <c r="C4" s="318"/>
      <c r="D4" s="319"/>
      <c r="E4" s="325" t="s">
        <v>174</v>
      </c>
      <c r="F4" s="307" t="s">
        <v>33</v>
      </c>
      <c r="G4" s="297" t="s">
        <v>175</v>
      </c>
      <c r="H4" s="309" t="s">
        <v>176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184</v>
      </c>
      <c r="P4" s="297" t="s">
        <v>49</v>
      </c>
      <c r="Q4" s="29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179</v>
      </c>
      <c r="L5" s="301"/>
      <c r="M5" s="302"/>
      <c r="N5" s="310"/>
      <c r="O5" s="312"/>
      <c r="P5" s="298"/>
      <c r="Q5" s="299"/>
      <c r="R5" s="303" t="s">
        <v>180</v>
      </c>
      <c r="S5" s="304"/>
      <c r="T5" s="305" t="s">
        <v>181</v>
      </c>
      <c r="U5" s="30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295"/>
      <c r="P93" s="295"/>
    </row>
    <row r="94" spans="3:16" ht="15">
      <c r="C94" s="80">
        <v>42852</v>
      </c>
      <c r="D94" s="28">
        <v>13266.8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42851</v>
      </c>
      <c r="D95" s="28">
        <v>6064.2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102.57358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13" t="s">
        <v>172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  <c r="T1" s="243"/>
      <c r="U1" s="246"/>
      <c r="V1" s="256"/>
      <c r="W1" s="256"/>
    </row>
    <row r="2" spans="2:23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150</v>
      </c>
      <c r="O3" s="324" t="s">
        <v>151</v>
      </c>
      <c r="P3" s="324"/>
      <c r="Q3" s="324"/>
      <c r="R3" s="324"/>
      <c r="S3" s="324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15"/>
      <c r="B4" s="317"/>
      <c r="C4" s="318"/>
      <c r="D4" s="319"/>
      <c r="E4" s="325" t="s">
        <v>140</v>
      </c>
      <c r="F4" s="307" t="s">
        <v>33</v>
      </c>
      <c r="G4" s="297" t="s">
        <v>149</v>
      </c>
      <c r="H4" s="309" t="s">
        <v>163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173</v>
      </c>
      <c r="P4" s="297" t="s">
        <v>49</v>
      </c>
      <c r="Q4" s="299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156</v>
      </c>
      <c r="L5" s="301"/>
      <c r="M5" s="302"/>
      <c r="N5" s="310"/>
      <c r="O5" s="312"/>
      <c r="P5" s="298"/>
      <c r="Q5" s="299"/>
      <c r="R5" s="300" t="s">
        <v>102</v>
      </c>
      <c r="S5" s="302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295"/>
      <c r="P93" s="295"/>
    </row>
    <row r="94" spans="3:16" ht="15">
      <c r="C94" s="80">
        <v>42824</v>
      </c>
      <c r="D94" s="28">
        <v>11112.7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42823</v>
      </c>
      <c r="D95" s="28">
        <v>8830.3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1399.2856000000002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2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3" t="s">
        <v>138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</row>
    <row r="2" spans="2:19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131</v>
      </c>
      <c r="O3" s="324" t="s">
        <v>135</v>
      </c>
      <c r="P3" s="324"/>
      <c r="Q3" s="324"/>
      <c r="R3" s="324"/>
      <c r="S3" s="324"/>
    </row>
    <row r="4" spans="1:19" ht="22.5" customHeight="1">
      <c r="A4" s="315"/>
      <c r="B4" s="317"/>
      <c r="C4" s="318"/>
      <c r="D4" s="319"/>
      <c r="E4" s="325" t="s">
        <v>136</v>
      </c>
      <c r="F4" s="307" t="s">
        <v>33</v>
      </c>
      <c r="G4" s="297" t="s">
        <v>132</v>
      </c>
      <c r="H4" s="309" t="s">
        <v>133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139</v>
      </c>
      <c r="P4" s="297" t="s">
        <v>49</v>
      </c>
      <c r="Q4" s="299" t="s">
        <v>48</v>
      </c>
      <c r="R4" s="90" t="s">
        <v>64</v>
      </c>
      <c r="S4" s="91" t="s">
        <v>63</v>
      </c>
    </row>
    <row r="5" spans="1:19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134</v>
      </c>
      <c r="L5" s="301"/>
      <c r="M5" s="302"/>
      <c r="N5" s="310"/>
      <c r="O5" s="312"/>
      <c r="P5" s="298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95"/>
      <c r="P90" s="295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89"/>
      <c r="H91" s="289"/>
      <c r="I91" s="117"/>
      <c r="J91" s="292"/>
      <c r="K91" s="292"/>
      <c r="L91" s="292"/>
      <c r="M91" s="292"/>
      <c r="N91" s="292"/>
      <c r="O91" s="295"/>
      <c r="P91" s="295"/>
    </row>
    <row r="92" spans="3:16" ht="15.75" customHeight="1">
      <c r="C92" s="80">
        <v>42790</v>
      </c>
      <c r="D92" s="28">
        <v>4206.9</v>
      </c>
      <c r="F92" s="67"/>
      <c r="G92" s="289"/>
      <c r="H92" s="289"/>
      <c r="I92" s="117"/>
      <c r="J92" s="296"/>
      <c r="K92" s="296"/>
      <c r="L92" s="296"/>
      <c r="M92" s="296"/>
      <c r="N92" s="296"/>
      <c r="O92" s="295"/>
      <c r="P92" s="295"/>
    </row>
    <row r="93" spans="3:14" ht="15.75" customHeight="1">
      <c r="C93" s="80"/>
      <c r="F93" s="67"/>
      <c r="G93" s="291"/>
      <c r="H93" s="291"/>
      <c r="I93" s="123"/>
      <c r="J93" s="292"/>
      <c r="K93" s="292"/>
      <c r="L93" s="292"/>
      <c r="M93" s="292"/>
      <c r="N93" s="292"/>
    </row>
    <row r="94" spans="2:14" ht="18.75" customHeight="1">
      <c r="B94" s="293" t="s">
        <v>56</v>
      </c>
      <c r="C94" s="294"/>
      <c r="D94" s="132">
        <v>7713.34596</v>
      </c>
      <c r="E94" s="68"/>
      <c r="F94" s="124" t="s">
        <v>105</v>
      </c>
      <c r="G94" s="289"/>
      <c r="H94" s="289"/>
      <c r="I94" s="125"/>
      <c r="J94" s="292"/>
      <c r="K94" s="292"/>
      <c r="L94" s="292"/>
      <c r="M94" s="292"/>
      <c r="N94" s="292"/>
    </row>
    <row r="95" spans="6:13" ht="9.75" customHeight="1">
      <c r="F95" s="67"/>
      <c r="G95" s="289"/>
      <c r="H95" s="289"/>
      <c r="I95" s="67"/>
      <c r="J95" s="68"/>
      <c r="K95" s="68"/>
      <c r="L95" s="68"/>
      <c r="M95" s="68"/>
    </row>
    <row r="96" spans="2:13" ht="22.5" customHeight="1" hidden="1">
      <c r="B96" s="287" t="s">
        <v>59</v>
      </c>
      <c r="C96" s="288"/>
      <c r="D96" s="79">
        <v>0</v>
      </c>
      <c r="E96" s="50" t="s">
        <v>24</v>
      </c>
      <c r="F96" s="67"/>
      <c r="G96" s="289"/>
      <c r="H96" s="28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90"/>
      <c r="P98" s="29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3" t="s">
        <v>130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</row>
    <row r="2" spans="2:19" s="1" customFormat="1" ht="15.75" customHeight="1">
      <c r="B2" s="314"/>
      <c r="C2" s="314"/>
      <c r="D2" s="314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5"/>
      <c r="B3" s="317"/>
      <c r="C3" s="318" t="s">
        <v>0</v>
      </c>
      <c r="D3" s="319" t="s">
        <v>121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119</v>
      </c>
      <c r="O3" s="324" t="s">
        <v>115</v>
      </c>
      <c r="P3" s="324"/>
      <c r="Q3" s="324"/>
      <c r="R3" s="324"/>
      <c r="S3" s="324"/>
    </row>
    <row r="4" spans="1:19" ht="22.5" customHeight="1">
      <c r="A4" s="315"/>
      <c r="B4" s="317"/>
      <c r="C4" s="318"/>
      <c r="D4" s="319"/>
      <c r="E4" s="325" t="s">
        <v>122</v>
      </c>
      <c r="F4" s="307" t="s">
        <v>33</v>
      </c>
      <c r="G4" s="297" t="s">
        <v>123</v>
      </c>
      <c r="H4" s="309" t="s">
        <v>124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120</v>
      </c>
      <c r="P4" s="297" t="s">
        <v>49</v>
      </c>
      <c r="Q4" s="299" t="s">
        <v>48</v>
      </c>
      <c r="R4" s="90" t="s">
        <v>64</v>
      </c>
      <c r="S4" s="91" t="s">
        <v>63</v>
      </c>
    </row>
    <row r="5" spans="1:19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129</v>
      </c>
      <c r="L5" s="301"/>
      <c r="M5" s="302"/>
      <c r="N5" s="310"/>
      <c r="O5" s="312"/>
      <c r="P5" s="298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95"/>
      <c r="P90" s="295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89"/>
      <c r="H91" s="289"/>
      <c r="I91" s="117"/>
      <c r="J91" s="292"/>
      <c r="K91" s="292"/>
      <c r="L91" s="292"/>
      <c r="M91" s="292"/>
      <c r="N91" s="292"/>
      <c r="O91" s="295"/>
      <c r="P91" s="295"/>
    </row>
    <row r="92" spans="3:16" ht="15.75" customHeight="1">
      <c r="C92" s="80">
        <v>42762</v>
      </c>
      <c r="D92" s="28">
        <v>8862.4</v>
      </c>
      <c r="F92" s="67"/>
      <c r="G92" s="289"/>
      <c r="H92" s="289"/>
      <c r="I92" s="117"/>
      <c r="J92" s="296"/>
      <c r="K92" s="296"/>
      <c r="L92" s="296"/>
      <c r="M92" s="296"/>
      <c r="N92" s="296"/>
      <c r="O92" s="295"/>
      <c r="P92" s="295"/>
    </row>
    <row r="93" spans="3:14" ht="15.75" customHeight="1">
      <c r="C93" s="80"/>
      <c r="F93" s="67"/>
      <c r="G93" s="291"/>
      <c r="H93" s="291"/>
      <c r="I93" s="123"/>
      <c r="J93" s="292"/>
      <c r="K93" s="292"/>
      <c r="L93" s="292"/>
      <c r="M93" s="292"/>
      <c r="N93" s="292"/>
    </row>
    <row r="94" spans="2:14" ht="18.75" customHeight="1">
      <c r="B94" s="293" t="s">
        <v>56</v>
      </c>
      <c r="C94" s="294"/>
      <c r="D94" s="132">
        <f>9505303.41/1000</f>
        <v>9505.30341</v>
      </c>
      <c r="E94" s="68"/>
      <c r="F94" s="124" t="s">
        <v>105</v>
      </c>
      <c r="G94" s="289"/>
      <c r="H94" s="289"/>
      <c r="I94" s="125"/>
      <c r="J94" s="292"/>
      <c r="K94" s="292"/>
      <c r="L94" s="292"/>
      <c r="M94" s="292"/>
      <c r="N94" s="292"/>
    </row>
    <row r="95" spans="6:13" ht="9.75" customHeight="1">
      <c r="F95" s="67"/>
      <c r="G95" s="289"/>
      <c r="H95" s="289"/>
      <c r="I95" s="67"/>
      <c r="J95" s="68"/>
      <c r="K95" s="68"/>
      <c r="L95" s="68"/>
      <c r="M95" s="68"/>
    </row>
    <row r="96" spans="2:13" ht="22.5" customHeight="1" hidden="1">
      <c r="B96" s="287" t="s">
        <v>59</v>
      </c>
      <c r="C96" s="288"/>
      <c r="D96" s="79">
        <v>0</v>
      </c>
      <c r="E96" s="50" t="s">
        <v>24</v>
      </c>
      <c r="F96" s="67"/>
      <c r="G96" s="289"/>
      <c r="H96" s="28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90"/>
      <c r="P98" s="29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2017-05-25T07:06:59Z</cp:lastPrinted>
  <dcterms:created xsi:type="dcterms:W3CDTF">2003-07-28T11:27:56Z</dcterms:created>
  <dcterms:modified xsi:type="dcterms:W3CDTF">2017-05-25T07:17:51Z</dcterms:modified>
  <cp:category/>
  <cp:version/>
  <cp:contentType/>
  <cp:contentStatus/>
</cp:coreProperties>
</file>